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Massoglia\Desktop\"/>
    </mc:Choice>
  </mc:AlternateContent>
  <xr:revisionPtr revIDLastSave="0" documentId="13_ncr:1_{1F750BD1-A7C8-458D-B282-76692948B3B2}" xr6:coauthVersionLast="47" xr6:coauthVersionMax="47" xr10:uidLastSave="{00000000-0000-0000-0000-000000000000}"/>
  <bookViews>
    <workbookView xWindow="3420" yWindow="3420" windowWidth="18720" windowHeight="11640" xr2:uid="{F2B81B17-ED0F-409C-8435-9D8B7EC7276D}"/>
  </bookViews>
  <sheets>
    <sheet name="Gen Fd" sheetId="1" r:id="rId1"/>
    <sheet name="Food" sheetId="2" r:id="rId2"/>
    <sheet name="Student" sheetId="4" r:id="rId3"/>
    <sheet name="Debt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1" l="1"/>
  <c r="E17" i="1"/>
  <c r="D20" i="1"/>
  <c r="D17" i="1"/>
  <c r="D16" i="1"/>
  <c r="D14" i="3"/>
  <c r="E18" i="2"/>
  <c r="E16" i="2"/>
  <c r="E9" i="2"/>
  <c r="E11" i="2" s="1"/>
  <c r="E15" i="2" s="1"/>
  <c r="E17" i="2" s="1"/>
  <c r="E19" i="2" s="1"/>
  <c r="D16" i="2"/>
  <c r="D13" i="2"/>
  <c r="D9" i="2"/>
  <c r="C18" i="2"/>
  <c r="C15" i="2"/>
  <c r="C14" i="4"/>
  <c r="B9" i="4"/>
  <c r="B13" i="2"/>
  <c r="B10" i="2"/>
  <c r="B9" i="2"/>
  <c r="B8" i="2"/>
  <c r="C18" i="3"/>
  <c r="C15" i="3"/>
  <c r="C16" i="3" s="1"/>
  <c r="C10" i="3"/>
  <c r="E25" i="1"/>
  <c r="E16" i="1"/>
  <c r="E29" i="1"/>
  <c r="E30" i="1"/>
  <c r="E31" i="1"/>
  <c r="E21" i="1"/>
  <c r="E22" i="1"/>
  <c r="E23" i="1"/>
  <c r="E24" i="1"/>
  <c r="E38" i="1"/>
  <c r="E37" i="1"/>
  <c r="E10" i="1"/>
  <c r="B39" i="1"/>
  <c r="C39" i="1"/>
  <c r="D38" i="1"/>
  <c r="D31" i="1"/>
  <c r="D25" i="1"/>
  <c r="D29" i="1"/>
  <c r="D22" i="1"/>
  <c r="D30" i="1"/>
  <c r="D24" i="1"/>
  <c r="D23" i="1"/>
  <c r="D21" i="1"/>
  <c r="C32" i="1"/>
  <c r="C30" i="1"/>
  <c r="C29" i="1"/>
  <c r="C27" i="1"/>
  <c r="C26" i="1"/>
  <c r="C25" i="1"/>
  <c r="C24" i="1"/>
  <c r="C23" i="1"/>
  <c r="C22" i="1"/>
  <c r="C21" i="1"/>
  <c r="C20" i="1"/>
  <c r="C28" i="1" s="1"/>
  <c r="C18" i="1"/>
  <c r="C33" i="1" s="1"/>
  <c r="C17" i="1"/>
  <c r="C16" i="1"/>
  <c r="C8" i="1"/>
  <c r="C12" i="1" s="1"/>
  <c r="C35" i="1" s="1"/>
  <c r="B20" i="1"/>
  <c r="B8" i="1"/>
  <c r="B31" i="1"/>
  <c r="C19" i="3" l="1"/>
  <c r="D8" i="4"/>
  <c r="E11" i="1" l="1"/>
  <c r="E8" i="1"/>
  <c r="E8" i="3" l="1"/>
  <c r="C11" i="4"/>
  <c r="C11" i="2"/>
  <c r="C17" i="2" s="1"/>
  <c r="D11" i="2"/>
  <c r="D15" i="2" s="1"/>
  <c r="C9" i="4"/>
  <c r="E6" i="2"/>
  <c r="D6" i="2"/>
  <c r="C6" i="2"/>
  <c r="B6" i="2"/>
  <c r="E5" i="2"/>
  <c r="D5" i="2"/>
  <c r="C5" i="2"/>
  <c r="B5" i="2"/>
  <c r="E4" i="2"/>
  <c r="D4" i="2"/>
  <c r="C4" i="2"/>
  <c r="E3" i="2"/>
  <c r="D3" i="2"/>
  <c r="E6" i="4"/>
  <c r="D6" i="4"/>
  <c r="C6" i="4"/>
  <c r="B6" i="4"/>
  <c r="E5" i="4"/>
  <c r="D5" i="4"/>
  <c r="C5" i="4"/>
  <c r="B5" i="4"/>
  <c r="E4" i="4"/>
  <c r="D4" i="4"/>
  <c r="C4" i="4"/>
  <c r="E3" i="4"/>
  <c r="D3" i="4"/>
  <c r="D3" i="3"/>
  <c r="E3" i="3"/>
  <c r="C4" i="3"/>
  <c r="D4" i="3"/>
  <c r="E4" i="3"/>
  <c r="C5" i="3"/>
  <c r="D5" i="3"/>
  <c r="E5" i="3"/>
  <c r="C6" i="3"/>
  <c r="D6" i="3"/>
  <c r="E6" i="3"/>
  <c r="B5" i="3"/>
  <c r="B6" i="3"/>
  <c r="C13" i="4" l="1"/>
  <c r="E12" i="1"/>
  <c r="D17" i="2"/>
  <c r="E10" i="3"/>
  <c r="D18" i="3"/>
  <c r="B13" i="4"/>
  <c r="B15" i="4" s="1"/>
  <c r="D10" i="3"/>
  <c r="B10" i="3"/>
  <c r="B15" i="3"/>
  <c r="B11" i="2"/>
  <c r="E28" i="1"/>
  <c r="E18" i="1"/>
  <c r="D9" i="4" l="1"/>
  <c r="D11" i="4"/>
  <c r="C15" i="4"/>
  <c r="D14" i="4" s="1"/>
  <c r="E8" i="4"/>
  <c r="B16" i="3"/>
  <c r="B19" i="3" s="1"/>
  <c r="D15" i="3"/>
  <c r="D16" i="3" s="1"/>
  <c r="D19" i="3" s="1"/>
  <c r="E18" i="3" s="1"/>
  <c r="E33" i="1"/>
  <c r="E15" i="3"/>
  <c r="E16" i="3" s="1"/>
  <c r="B15" i="2"/>
  <c r="B17" i="2" s="1"/>
  <c r="B19" i="2" s="1"/>
  <c r="D13" i="4" l="1"/>
  <c r="D15" i="4"/>
  <c r="E14" i="4" s="1"/>
  <c r="E35" i="1"/>
  <c r="E39" i="1" s="1"/>
  <c r="E9" i="4"/>
  <c r="E11" i="4"/>
  <c r="C19" i="2"/>
  <c r="D18" i="2"/>
  <c r="D19" i="2" s="1"/>
  <c r="E19" i="3"/>
  <c r="D18" i="1"/>
  <c r="D28" i="1"/>
  <c r="B28" i="1"/>
  <c r="B18" i="1"/>
  <c r="D12" i="1"/>
  <c r="B12" i="1"/>
  <c r="B33" i="1" l="1"/>
  <c r="E13" i="4"/>
  <c r="E15" i="4" s="1"/>
  <c r="D33" i="1"/>
  <c r="D35" i="1" l="1"/>
  <c r="D39" i="1" s="1"/>
  <c r="B35" i="1"/>
  <c r="B41" i="1" s="1"/>
  <c r="B43" i="1" l="1"/>
  <c r="C40" i="1"/>
  <c r="C41" i="1" s="1"/>
  <c r="D40" i="1"/>
  <c r="D41" i="1" s="1"/>
  <c r="C43" i="1"/>
  <c r="E40" i="1" l="1"/>
  <c r="E41" i="1" s="1"/>
  <c r="E43" i="1" s="1"/>
  <c r="D43" i="1"/>
</calcChain>
</file>

<file path=xl/sharedStrings.xml><?xml version="1.0" encoding="utf-8"?>
<sst xmlns="http://schemas.openxmlformats.org/spreadsheetml/2006/main" count="89" uniqueCount="54">
  <si>
    <t>Exhibit 1</t>
  </si>
  <si>
    <t>ITEM</t>
  </si>
  <si>
    <t>ACTUAL</t>
  </si>
  <si>
    <t>BUDGET</t>
  </si>
  <si>
    <t>ORIGINAL</t>
  </si>
  <si>
    <t xml:space="preserve">FINAL </t>
  </si>
  <si>
    <t>Revenues:</t>
  </si>
  <si>
    <t>Local</t>
  </si>
  <si>
    <t>State</t>
  </si>
  <si>
    <t>Federal</t>
  </si>
  <si>
    <t>Total Revenues</t>
  </si>
  <si>
    <t>Expenditures:</t>
  </si>
  <si>
    <t>Basic Programs</t>
  </si>
  <si>
    <t>Added Needs</t>
  </si>
  <si>
    <t>Total Instruction</t>
  </si>
  <si>
    <t xml:space="preserve">      GENERAL FUND BUDGET SUMMARY</t>
  </si>
  <si>
    <t>Instruction:</t>
  </si>
  <si>
    <t>Pupil</t>
  </si>
  <si>
    <t>Instructional Staff</t>
  </si>
  <si>
    <t>General Administration</t>
  </si>
  <si>
    <t>School Administration</t>
  </si>
  <si>
    <t>Business</t>
  </si>
  <si>
    <t>Maintenance/Operations</t>
  </si>
  <si>
    <t>Pupil Transportation</t>
  </si>
  <si>
    <t>Central (HR/Tech)</t>
  </si>
  <si>
    <t>Total Supporting Services</t>
  </si>
  <si>
    <t>Athletics</t>
  </si>
  <si>
    <t>Community Services</t>
  </si>
  <si>
    <t>Debt Service:</t>
  </si>
  <si>
    <t>Principal</t>
  </si>
  <si>
    <t>Capital Outlay</t>
  </si>
  <si>
    <t>Total Expenditures</t>
  </si>
  <si>
    <t>Revenues over Expenditures</t>
  </si>
  <si>
    <t>Beginning Fund Balance</t>
  </si>
  <si>
    <t>Ending Fund Balance</t>
  </si>
  <si>
    <t>Transfers Out</t>
  </si>
  <si>
    <t xml:space="preserve">Interdistrict </t>
  </si>
  <si>
    <t>Support Services:</t>
  </si>
  <si>
    <t>Net Change in Fund Balance</t>
  </si>
  <si>
    <t>PROPOSED</t>
  </si>
  <si>
    <t xml:space="preserve">          FOOD SERVICE BUDGET SUMMARY</t>
  </si>
  <si>
    <t xml:space="preserve">          DEBT SERVICE BUDGET SUMMARY</t>
  </si>
  <si>
    <t>Revenues Over Expenditures</t>
  </si>
  <si>
    <t>Transfers In</t>
  </si>
  <si>
    <t>Interest/Other</t>
  </si>
  <si>
    <t>Proceeds from bond loan fund</t>
  </si>
  <si>
    <t xml:space="preserve">          STUDENT ACTIVITY BUDGET SUMMARY</t>
  </si>
  <si>
    <t>2024-25</t>
  </si>
  <si>
    <t>Balance Percent of Revenues</t>
  </si>
  <si>
    <t>2025-26</t>
  </si>
  <si>
    <t>Proceeds from notes/leases</t>
  </si>
  <si>
    <t/>
  </si>
  <si>
    <t>Transfers In/Out Net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</si>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</sst>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0" fillId="0" borderId="0" xfId="2" applyNumberFormat="1" applyFont="1"/>
    <xf numFmtId="165" fontId="0" fillId="0" borderId="0" xfId="1" applyNumberFormat="1" applyFont="1"/>
    <xf numFmtId="165" fontId="3" fillId="0" borderId="0" xfId="1" applyNumberFormat="1" applyFont="1"/>
    <xf numFmtId="165" fontId="4" fillId="0" borderId="0" xfId="1" applyNumberFormat="1" applyFont="1"/>
    <xf numFmtId="165" fontId="5" fillId="0" borderId="0" xfId="1" applyNumberFormat="1" applyFont="1"/>
    <xf numFmtId="165" fontId="2" fillId="0" borderId="0" xfId="1" applyNumberFormat="1" applyFont="1"/>
    <xf numFmtId="164" fontId="5" fillId="0" borderId="0" xfId="2" applyNumberFormat="1" applyFont="1"/>
    <xf numFmtId="0" fontId="4" fillId="0" borderId="0" xfId="0" applyFont="1"/>
    <xf numFmtId="164" fontId="3" fillId="0" borderId="0" xfId="2" applyNumberFormat="1" applyFont="1"/>
    <xf numFmtId="164" fontId="4" fillId="0" borderId="0" xfId="2" applyNumberFormat="1" applyFont="1"/>
    <xf numFmtId="164" fontId="1" fillId="0" borderId="0" xfId="2" applyNumberFormat="1" applyFont="1"/>
    <xf numFmtId="164" fontId="0" fillId="0" borderId="0" xfId="0" applyNumberFormat="1"/>
    <xf numFmtId="164" fontId="6" fillId="0" borderId="0" xfId="0" applyNumberFormat="1" applyFont="1"/>
    <xf numFmtId="165" fontId="3" fillId="0" borderId="0" xfId="0" applyNumberFormat="1" applyFont="1"/>
    <xf numFmtId="165" fontId="0" fillId="0" borderId="0" xfId="1" applyNumberFormat="1" applyFont="1" applyFill="1"/>
    <xf numFmtId="166" fontId="0" fillId="0" borderId="0" xfId="3" applyNumberFormat="1" applyFont="1"/>
    <xf numFmtId="44" fontId="0" fillId="0" borderId="0" xfId="0" applyNumberFormat="1"/>
    <xf numFmtId="165" fontId="0" fillId="0" borderId="0" xfId="0" applyNumberFormat="1"/>
    <xf numFmtId="165" fontId="0" fillId="0" borderId="0" xfId="1" quotePrefix="1" applyNumberFormat="1" applyFont="1"/>
    <xf numFmtId="0" fontId="2" fillId="2" borderId="0" xfId="0" applyFont="1" applyFill="1" applyAlignment="1">
      <alignment horizontal="right"/>
    </xf>
    <xf numFmtId="0" fontId="0" fillId="2" borderId="0" xfId="0" applyFill="1"/>
    <xf numFmtId="164" fontId="0" fillId="2" borderId="0" xfId="2" applyNumberFormat="1" applyFont="1" applyFill="1"/>
    <xf numFmtId="165" fontId="0" fillId="2" borderId="0" xfId="1" applyNumberFormat="1" applyFont="1" applyFill="1"/>
    <xf numFmtId="165" fontId="3" fillId="2" borderId="0" xfId="1" applyNumberFormat="1" applyFont="1" applyFill="1"/>
    <xf numFmtId="164" fontId="5" fillId="2" borderId="0" xfId="2" applyNumberFormat="1" applyFont="1" applyFill="1"/>
    <xf numFmtId="165" fontId="2" fillId="2" borderId="0" xfId="1" applyNumberFormat="1" applyFont="1" applyFill="1"/>
    <xf numFmtId="165" fontId="5" fillId="2" borderId="0" xfId="1" applyNumberFormat="1" applyFont="1" applyFill="1"/>
    <xf numFmtId="166" fontId="0" fillId="2" borderId="0" xfId="3" applyNumberFormat="1" applyFont="1" applyFill="1"/>
    <xf numFmtId="0" fontId="2" fillId="3" borderId="0" xfId="0" applyFont="1" applyFill="1" applyAlignment="1">
      <alignment horizontal="right"/>
    </xf>
    <xf numFmtId="0" fontId="0" fillId="3" borderId="0" xfId="0" applyFill="1"/>
    <xf numFmtId="164" fontId="0" fillId="3" borderId="0" xfId="0" applyNumberFormat="1" applyFill="1"/>
    <xf numFmtId="164" fontId="3" fillId="3" borderId="0" xfId="0" applyNumberFormat="1" applyFont="1" applyFill="1"/>
    <xf numFmtId="164" fontId="5" fillId="3" borderId="0" xfId="2" applyNumberFormat="1" applyFont="1" applyFill="1"/>
    <xf numFmtId="164" fontId="0" fillId="3" borderId="0" xfId="2" applyNumberFormat="1" applyFont="1" applyFill="1"/>
    <xf numFmtId="165" fontId="3" fillId="3" borderId="0" xfId="1" applyNumberFormat="1" applyFont="1" applyFill="1"/>
    <xf numFmtId="165" fontId="2" fillId="3" borderId="0" xfId="1" applyNumberFormat="1" applyFont="1" applyFill="1"/>
    <xf numFmtId="165" fontId="0" fillId="3" borderId="0" xfId="1" applyNumberFormat="1" applyFont="1" applyFill="1"/>
    <xf numFmtId="165" fontId="5" fillId="3" borderId="0" xfId="1" applyNumberFormat="1" applyFont="1" applyFill="1"/>
    <xf numFmtId="165" fontId="6" fillId="3" borderId="0" xfId="1" applyNumberFormat="1" applyFont="1" applyFill="1"/>
    <xf numFmtId="164" fontId="6" fillId="3" borderId="0" xfId="0" applyNumberFormat="1" applyFont="1" applyFill="1"/>
    <xf numFmtId="166" fontId="0" fillId="3" borderId="0" xfId="3" applyNumberFormat="1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5BB4-AF51-44D8-A36F-1A137FFEF254}">
  <dimension ref="A1:I47"/>
  <sheetViews>
    <sheetView tabSelected="1" topLeftCell="A3" workbookViewId="0">
      <selection activeCell="G33" sqref="G33"/>
    </sheetView>
  </sheetViews>
  <sheetFormatPr defaultRowHeight="14.5" x14ac:dyDescent="0.35"/>
  <cols>
    <col min="1" max="1" width="26.08984375" customWidth="1"/>
    <col min="2" max="2" width="13" customWidth="1"/>
    <col min="3" max="3" width="13.81640625" customWidth="1"/>
    <col min="4" max="4" width="13.6328125" customWidth="1"/>
    <col min="5" max="5" width="13.08984375" customWidth="1"/>
    <col min="7" max="7" width="12.54296875" bestFit="1" customWidth="1"/>
    <col min="9" max="9" width="20.54296875" bestFit="1" customWidth="1"/>
  </cols>
  <sheetData>
    <row r="1" spans="1:6" x14ac:dyDescent="0.35">
      <c r="A1" t="s">
        <v>0</v>
      </c>
      <c r="B1" s="1" t="s">
        <v>15</v>
      </c>
      <c r="D1" s="1"/>
      <c r="E1" s="1"/>
      <c r="F1" s="1"/>
    </row>
    <row r="2" spans="1:6" x14ac:dyDescent="0.35">
      <c r="B2" s="1"/>
      <c r="D2" s="1"/>
      <c r="E2" s="1"/>
      <c r="F2" s="1"/>
    </row>
    <row r="3" spans="1:6" x14ac:dyDescent="0.35">
      <c r="B3" s="1"/>
      <c r="C3" s="1"/>
      <c r="D3" s="22" t="s">
        <v>39</v>
      </c>
      <c r="E3" s="31" t="s">
        <v>39</v>
      </c>
    </row>
    <row r="4" spans="1:6" x14ac:dyDescent="0.35">
      <c r="B4" s="2"/>
      <c r="C4" s="2" t="s">
        <v>49</v>
      </c>
      <c r="D4" s="22" t="s">
        <v>49</v>
      </c>
      <c r="E4" s="31" t="s">
        <v>53</v>
      </c>
    </row>
    <row r="5" spans="1:6" x14ac:dyDescent="0.35">
      <c r="B5" s="2" t="s">
        <v>47</v>
      </c>
      <c r="C5" s="2" t="s">
        <v>4</v>
      </c>
      <c r="D5" s="22" t="s">
        <v>5</v>
      </c>
      <c r="E5" s="31" t="s">
        <v>4</v>
      </c>
    </row>
    <row r="6" spans="1:6" x14ac:dyDescent="0.35">
      <c r="A6" t="s">
        <v>1</v>
      </c>
      <c r="B6" s="2" t="s">
        <v>2</v>
      </c>
      <c r="C6" s="2" t="s">
        <v>3</v>
      </c>
      <c r="D6" s="22" t="s">
        <v>3</v>
      </c>
      <c r="E6" s="31" t="s">
        <v>3</v>
      </c>
    </row>
    <row r="7" spans="1:6" x14ac:dyDescent="0.35">
      <c r="A7" s="1" t="s">
        <v>6</v>
      </c>
      <c r="D7" s="23"/>
      <c r="E7" s="32"/>
    </row>
    <row r="8" spans="1:6" x14ac:dyDescent="0.35">
      <c r="A8" t="s">
        <v>7</v>
      </c>
      <c r="B8" s="3">
        <f>2276838</f>
        <v>2276838</v>
      </c>
      <c r="C8" s="3">
        <f>2091500+5000</f>
        <v>2096500</v>
      </c>
      <c r="D8" s="24">
        <v>2033500</v>
      </c>
      <c r="E8" s="33">
        <f>D8</f>
        <v>2033500</v>
      </c>
    </row>
    <row r="9" spans="1:6" x14ac:dyDescent="0.35">
      <c r="A9" t="s">
        <v>8</v>
      </c>
      <c r="B9" s="4">
        <v>38067014</v>
      </c>
      <c r="C9" s="4">
        <v>40593515</v>
      </c>
      <c r="D9" s="25">
        <v>43100075</v>
      </c>
      <c r="E9" s="33">
        <v>41246889</v>
      </c>
    </row>
    <row r="10" spans="1:6" x14ac:dyDescent="0.35">
      <c r="A10" t="s">
        <v>9</v>
      </c>
      <c r="B10" s="4">
        <v>2313956</v>
      </c>
      <c r="C10" s="4">
        <v>2457175</v>
      </c>
      <c r="D10" s="25">
        <v>2037884</v>
      </c>
      <c r="E10" s="33">
        <f>D10</f>
        <v>2037884</v>
      </c>
    </row>
    <row r="11" spans="1:6" ht="16" x14ac:dyDescent="0.5">
      <c r="A11" t="s">
        <v>36</v>
      </c>
      <c r="B11" s="5">
        <v>1581766</v>
      </c>
      <c r="C11" s="5">
        <v>1400000</v>
      </c>
      <c r="D11" s="26">
        <v>1500000</v>
      </c>
      <c r="E11" s="34">
        <f t="shared" ref="E11" si="0">D11</f>
        <v>1500000</v>
      </c>
    </row>
    <row r="12" spans="1:6" ht="16" x14ac:dyDescent="0.5">
      <c r="A12" s="1" t="s">
        <v>10</v>
      </c>
      <c r="B12" s="9">
        <f>SUM(B8:B11)</f>
        <v>44239574</v>
      </c>
      <c r="C12" s="9">
        <f t="shared" ref="C12" si="1">SUM(C8:C11)</f>
        <v>46547190</v>
      </c>
      <c r="D12" s="27">
        <f t="shared" ref="D12:E12" si="2">SUM(D8:D11)</f>
        <v>48671459</v>
      </c>
      <c r="E12" s="35">
        <f t="shared" si="2"/>
        <v>46818273</v>
      </c>
    </row>
    <row r="13" spans="1:6" x14ac:dyDescent="0.35">
      <c r="A13" s="1"/>
      <c r="B13" s="4"/>
      <c r="C13" s="4"/>
      <c r="D13" s="25"/>
      <c r="E13" s="32"/>
    </row>
    <row r="14" spans="1:6" x14ac:dyDescent="0.35">
      <c r="A14" s="1" t="s">
        <v>11</v>
      </c>
      <c r="B14" s="4"/>
      <c r="C14" s="4"/>
      <c r="D14" s="25"/>
      <c r="E14" s="32"/>
    </row>
    <row r="15" spans="1:6" x14ac:dyDescent="0.35">
      <c r="A15" t="s">
        <v>16</v>
      </c>
      <c r="B15" s="4"/>
      <c r="C15" s="4"/>
      <c r="D15" s="25"/>
      <c r="E15" s="32"/>
    </row>
    <row r="16" spans="1:6" x14ac:dyDescent="0.35">
      <c r="A16" t="s">
        <v>12</v>
      </c>
      <c r="B16" s="3">
        <v>21354590</v>
      </c>
      <c r="C16" s="3">
        <f>23614534-640000</f>
        <v>22974534</v>
      </c>
      <c r="D16" s="24">
        <f>20613482-15000</f>
        <v>20598482</v>
      </c>
      <c r="E16" s="36">
        <f>21813482-15000</f>
        <v>21798482</v>
      </c>
    </row>
    <row r="17" spans="1:7" ht="16" x14ac:dyDescent="0.5">
      <c r="A17" t="s">
        <v>13</v>
      </c>
      <c r="B17" s="5">
        <v>6940582</v>
      </c>
      <c r="C17" s="5">
        <f>8535503-695170</f>
        <v>7840333</v>
      </c>
      <c r="D17" s="26">
        <f>7652002-15000</f>
        <v>7637002</v>
      </c>
      <c r="E17" s="37">
        <f>7802551-15000</f>
        <v>7787551</v>
      </c>
      <c r="G17" s="5"/>
    </row>
    <row r="18" spans="1:7" x14ac:dyDescent="0.35">
      <c r="A18" s="1" t="s">
        <v>14</v>
      </c>
      <c r="B18" s="8">
        <f>SUM(B16:B17)</f>
        <v>28295172</v>
      </c>
      <c r="C18" s="8">
        <f t="shared" ref="C18" si="3">SUM(C16:C17)</f>
        <v>30814867</v>
      </c>
      <c r="D18" s="28">
        <f t="shared" ref="D18:E18" si="4">SUM(D16:D17)</f>
        <v>28235484</v>
      </c>
      <c r="E18" s="38">
        <f t="shared" si="4"/>
        <v>29586033</v>
      </c>
    </row>
    <row r="19" spans="1:7" x14ac:dyDescent="0.35">
      <c r="A19" t="s">
        <v>37</v>
      </c>
      <c r="B19" s="4"/>
      <c r="C19" s="4"/>
      <c r="D19" s="25"/>
      <c r="E19" s="32"/>
    </row>
    <row r="20" spans="1:7" x14ac:dyDescent="0.35">
      <c r="A20" t="s">
        <v>17</v>
      </c>
      <c r="B20" s="4">
        <f>2098554</f>
        <v>2098554</v>
      </c>
      <c r="C20" s="4">
        <f>2126340</f>
        <v>2126340</v>
      </c>
      <c r="D20" s="25">
        <f>2283622</f>
        <v>2283622</v>
      </c>
      <c r="E20" s="39">
        <f>2283622</f>
        <v>2283622</v>
      </c>
    </row>
    <row r="21" spans="1:7" x14ac:dyDescent="0.35">
      <c r="A21" t="s">
        <v>18</v>
      </c>
      <c r="B21" s="4">
        <v>397117</v>
      </c>
      <c r="C21" s="17">
        <f>389505</f>
        <v>389505</v>
      </c>
      <c r="D21" s="25">
        <f>440896</f>
        <v>440896</v>
      </c>
      <c r="E21" s="39">
        <f>440896</f>
        <v>440896</v>
      </c>
    </row>
    <row r="22" spans="1:7" x14ac:dyDescent="0.35">
      <c r="A22" t="s">
        <v>19</v>
      </c>
      <c r="B22" s="4">
        <v>996403</v>
      </c>
      <c r="C22" s="4">
        <f>976350-1500</f>
        <v>974850</v>
      </c>
      <c r="D22" s="25">
        <f>1021700-1500</f>
        <v>1020200</v>
      </c>
      <c r="E22" s="39">
        <f>1021700-1500</f>
        <v>1020200</v>
      </c>
      <c r="G22" s="4"/>
    </row>
    <row r="23" spans="1:7" x14ac:dyDescent="0.35">
      <c r="A23" t="s">
        <v>20</v>
      </c>
      <c r="B23" s="4">
        <v>2289454</v>
      </c>
      <c r="C23" s="4">
        <f>2374000</f>
        <v>2374000</v>
      </c>
      <c r="D23" s="25">
        <f>2020000</f>
        <v>2020000</v>
      </c>
      <c r="E23" s="39">
        <f>2020000</f>
        <v>2020000</v>
      </c>
    </row>
    <row r="24" spans="1:7" x14ac:dyDescent="0.35">
      <c r="A24" t="s">
        <v>21</v>
      </c>
      <c r="B24" s="4">
        <v>1340006</v>
      </c>
      <c r="C24" s="4">
        <f>1413025</f>
        <v>1413025</v>
      </c>
      <c r="D24" s="25">
        <f>1521025</f>
        <v>1521025</v>
      </c>
      <c r="E24" s="39">
        <f>1521025</f>
        <v>1521025</v>
      </c>
    </row>
    <row r="25" spans="1:7" x14ac:dyDescent="0.35">
      <c r="A25" t="s">
        <v>22</v>
      </c>
      <c r="B25" s="4">
        <v>6545116</v>
      </c>
      <c r="C25" s="4">
        <f>7772468-478000</f>
        <v>7294468</v>
      </c>
      <c r="D25" s="25">
        <f>7842884-182000-432000</f>
        <v>7228884</v>
      </c>
      <c r="E25" s="39">
        <f>8077884-182000-432000</f>
        <v>7463884</v>
      </c>
      <c r="G25" s="4"/>
    </row>
    <row r="26" spans="1:7" x14ac:dyDescent="0.35">
      <c r="A26" t="s">
        <v>23</v>
      </c>
      <c r="B26" s="4">
        <v>283783</v>
      </c>
      <c r="C26" s="4">
        <f>750852</f>
        <v>750852</v>
      </c>
      <c r="D26" s="25">
        <v>839400</v>
      </c>
      <c r="E26" s="39">
        <v>839400</v>
      </c>
      <c r="G26" s="4"/>
    </row>
    <row r="27" spans="1:7" ht="16" x14ac:dyDescent="0.5">
      <c r="A27" t="s">
        <v>24</v>
      </c>
      <c r="B27" s="5">
        <v>390094</v>
      </c>
      <c r="C27" s="5">
        <f>460065</f>
        <v>460065</v>
      </c>
      <c r="D27" s="26">
        <v>428198</v>
      </c>
      <c r="E27" s="37">
        <v>428198</v>
      </c>
    </row>
    <row r="28" spans="1:7" x14ac:dyDescent="0.35">
      <c r="A28" s="1" t="s">
        <v>25</v>
      </c>
      <c r="B28" s="8">
        <f>SUM(B20:B27)</f>
        <v>14340527</v>
      </c>
      <c r="C28" s="8">
        <f t="shared" ref="C28" si="5">SUM(C20:C27)</f>
        <v>15783105</v>
      </c>
      <c r="D28" s="28">
        <f t="shared" ref="D28:E28" si="6">SUM(D20:D27)</f>
        <v>15782225</v>
      </c>
      <c r="E28" s="38">
        <f t="shared" si="6"/>
        <v>16017225</v>
      </c>
    </row>
    <row r="29" spans="1:7" x14ac:dyDescent="0.35">
      <c r="A29" s="1" t="s">
        <v>26</v>
      </c>
      <c r="B29" s="4">
        <v>510261</v>
      </c>
      <c r="C29" s="4">
        <f>623300-75000</f>
        <v>548300</v>
      </c>
      <c r="D29" s="25">
        <f>576300-50000</f>
        <v>526300</v>
      </c>
      <c r="E29" s="39">
        <f>576300-50000</f>
        <v>526300</v>
      </c>
      <c r="G29" s="4"/>
    </row>
    <row r="30" spans="1:7" x14ac:dyDescent="0.35">
      <c r="A30" s="1" t="s">
        <v>27</v>
      </c>
      <c r="B30" s="4">
        <v>259733</v>
      </c>
      <c r="C30" s="4">
        <f>262503</f>
        <v>262503</v>
      </c>
      <c r="D30" s="25">
        <f>217645</f>
        <v>217645</v>
      </c>
      <c r="E30" s="39">
        <f>217645</f>
        <v>217645</v>
      </c>
    </row>
    <row r="31" spans="1:7" x14ac:dyDescent="0.35">
      <c r="A31" s="1" t="s">
        <v>28</v>
      </c>
      <c r="B31" s="4">
        <f>418370+103594</f>
        <v>521964</v>
      </c>
      <c r="C31" s="4">
        <v>0</v>
      </c>
      <c r="D31" s="25">
        <f>432000+78000</f>
        <v>510000</v>
      </c>
      <c r="E31" s="39">
        <f>432000+78000</f>
        <v>510000</v>
      </c>
    </row>
    <row r="32" spans="1:7" ht="16" x14ac:dyDescent="0.5">
      <c r="A32" s="1" t="s">
        <v>30</v>
      </c>
      <c r="B32" s="5">
        <v>745581</v>
      </c>
      <c r="C32" s="5">
        <f>1889670+227595</f>
        <v>2117265</v>
      </c>
      <c r="D32" s="26">
        <v>4129603</v>
      </c>
      <c r="E32" s="37">
        <v>263500</v>
      </c>
      <c r="G32" s="20"/>
    </row>
    <row r="33" spans="1:9" ht="16" x14ac:dyDescent="0.5">
      <c r="A33" s="1" t="s">
        <v>31</v>
      </c>
      <c r="B33" s="7">
        <f>B18+B28+B29+B30+B31+B32</f>
        <v>44673238</v>
      </c>
      <c r="C33" s="7">
        <f t="shared" ref="C33" si="7">C18+C28+C29+C30+C31+C32</f>
        <v>49526040</v>
      </c>
      <c r="D33" s="29">
        <f t="shared" ref="D33:E33" si="8">D18+D28+D29+D30+D31+D32</f>
        <v>49401257</v>
      </c>
      <c r="E33" s="40">
        <f t="shared" si="8"/>
        <v>47120703</v>
      </c>
      <c r="G33" s="20"/>
      <c r="I33" s="20"/>
    </row>
    <row r="34" spans="1:9" x14ac:dyDescent="0.35">
      <c r="A34" s="1"/>
      <c r="B34" s="4"/>
      <c r="C34" s="4"/>
      <c r="D34" s="25"/>
      <c r="E34" s="32"/>
    </row>
    <row r="35" spans="1:9" x14ac:dyDescent="0.35">
      <c r="A35" s="1" t="s">
        <v>32</v>
      </c>
      <c r="B35" s="8">
        <f>B12-B33</f>
        <v>-433664</v>
      </c>
      <c r="C35" s="8">
        <f t="shared" ref="C35" si="9">C12-C33</f>
        <v>-2978850</v>
      </c>
      <c r="D35" s="28">
        <f t="shared" ref="D35:E35" si="10">D12-D33</f>
        <v>-729798</v>
      </c>
      <c r="E35" s="38">
        <f t="shared" si="10"/>
        <v>-302430</v>
      </c>
      <c r="G35" s="14"/>
    </row>
    <row r="36" spans="1:9" x14ac:dyDescent="0.35">
      <c r="A36" s="1" t="s">
        <v>50</v>
      </c>
      <c r="B36" s="8">
        <v>0</v>
      </c>
      <c r="C36" s="8"/>
      <c r="D36" s="28"/>
      <c r="E36" s="38"/>
    </row>
    <row r="37" spans="1:9" x14ac:dyDescent="0.35">
      <c r="A37" s="1" t="s">
        <v>43</v>
      </c>
      <c r="B37" s="8">
        <v>2055</v>
      </c>
      <c r="C37" s="8"/>
      <c r="D37" s="28">
        <v>52916</v>
      </c>
      <c r="E37" s="38">
        <f>D37</f>
        <v>52916</v>
      </c>
      <c r="G37" s="14"/>
    </row>
    <row r="38" spans="1:9" ht="16" x14ac:dyDescent="0.5">
      <c r="A38" s="1" t="s">
        <v>35</v>
      </c>
      <c r="B38" s="5">
        <v>-23</v>
      </c>
      <c r="C38" s="5">
        <v>-35427</v>
      </c>
      <c r="D38" s="26">
        <f>-47916-100</f>
        <v>-48016</v>
      </c>
      <c r="E38" s="41">
        <f>D38</f>
        <v>-48016</v>
      </c>
      <c r="G38" s="20"/>
    </row>
    <row r="39" spans="1:9" x14ac:dyDescent="0.35">
      <c r="A39" s="1" t="s">
        <v>38</v>
      </c>
      <c r="B39" s="8">
        <f t="shared" ref="B39:C39" si="11">B35+B38+B37</f>
        <v>-431632</v>
      </c>
      <c r="C39" s="8">
        <f t="shared" si="11"/>
        <v>-3014277</v>
      </c>
      <c r="D39" s="28">
        <f>D35+D38+D37</f>
        <v>-724898</v>
      </c>
      <c r="E39" s="38">
        <f>E35+E38+E37</f>
        <v>-297530</v>
      </c>
      <c r="G39" s="20"/>
    </row>
    <row r="40" spans="1:9" ht="16" x14ac:dyDescent="0.5">
      <c r="A40" s="1" t="s">
        <v>33</v>
      </c>
      <c r="B40" s="5">
        <v>9370705</v>
      </c>
      <c r="C40" s="5">
        <f>B41</f>
        <v>8939073</v>
      </c>
      <c r="D40" s="26">
        <f>C40</f>
        <v>8939073</v>
      </c>
      <c r="E40" s="42">
        <f>D41</f>
        <v>8214175</v>
      </c>
      <c r="G40" s="20"/>
    </row>
    <row r="41" spans="1:9" ht="16" x14ac:dyDescent="0.5">
      <c r="A41" s="1" t="s">
        <v>34</v>
      </c>
      <c r="B41" s="9">
        <f>B39+B40</f>
        <v>8939073</v>
      </c>
      <c r="C41" s="9">
        <f t="shared" ref="C41" si="12">C39+C40</f>
        <v>5924796</v>
      </c>
      <c r="D41" s="27">
        <f t="shared" ref="D41:E41" si="13">D39+D40</f>
        <v>8214175</v>
      </c>
      <c r="E41" s="35">
        <f t="shared" si="13"/>
        <v>7916645</v>
      </c>
    </row>
    <row r="42" spans="1:9" x14ac:dyDescent="0.35">
      <c r="D42" s="23"/>
      <c r="E42" s="32"/>
      <c r="F42" s="19"/>
    </row>
    <row r="43" spans="1:9" x14ac:dyDescent="0.35">
      <c r="A43" s="1" t="s">
        <v>48</v>
      </c>
      <c r="B43" s="18">
        <f>B41/B12</f>
        <v>0.20206055781640211</v>
      </c>
      <c r="C43" s="18">
        <f t="shared" ref="C43:E43" si="14">C41/C12</f>
        <v>0.12728579319181244</v>
      </c>
      <c r="D43" s="30">
        <f t="shared" si="14"/>
        <v>0.16876779880381232</v>
      </c>
      <c r="E43" s="43">
        <f t="shared" si="14"/>
        <v>0.16909305902846949</v>
      </c>
    </row>
    <row r="45" spans="1:9" x14ac:dyDescent="0.35">
      <c r="B45" s="20"/>
      <c r="D45" s="20"/>
      <c r="E45" s="20"/>
    </row>
    <row r="47" spans="1:9" x14ac:dyDescent="0.35">
      <c r="E47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10A5C-8689-41C8-BF25-7BF531B82D05}">
  <dimension ref="A1:E19"/>
  <sheetViews>
    <sheetView workbookViewId="0">
      <selection activeCell="E14" sqref="E14"/>
    </sheetView>
  </sheetViews>
  <sheetFormatPr defaultRowHeight="14.5" x14ac:dyDescent="0.35"/>
  <cols>
    <col min="1" max="1" width="24.08984375" customWidth="1"/>
    <col min="2" max="2" width="13.90625" customWidth="1"/>
    <col min="3" max="3" width="14.81640625" customWidth="1"/>
    <col min="4" max="4" width="13" customWidth="1"/>
    <col min="5" max="5" width="16.1796875" customWidth="1"/>
  </cols>
  <sheetData>
    <row r="1" spans="1:5" x14ac:dyDescent="0.35">
      <c r="A1" t="s">
        <v>0</v>
      </c>
      <c r="B1" s="1" t="s">
        <v>40</v>
      </c>
      <c r="D1" s="1"/>
      <c r="E1" s="1"/>
    </row>
    <row r="2" spans="1:5" x14ac:dyDescent="0.35">
      <c r="B2" s="1"/>
      <c r="D2" s="1"/>
      <c r="E2" s="1"/>
    </row>
    <row r="3" spans="1:5" x14ac:dyDescent="0.35">
      <c r="B3" s="2"/>
      <c r="C3" s="2"/>
      <c r="D3" s="2" t="str">
        <f>'Gen Fd'!D3</f>
        <v>PROPOSED</v>
      </c>
      <c r="E3" s="2" t="str">
        <f>'Gen Fd'!E3</f>
        <v>PROPOSED</v>
      </c>
    </row>
    <row r="4" spans="1:5" x14ac:dyDescent="0.35">
      <c r="B4" s="2"/>
      <c r="C4" s="2" t="str">
        <f>'Gen Fd'!C4</f>
        <v>2025-26</v>
      </c>
      <c r="D4" s="2" t="str">
        <f>'Gen Fd'!D4</f>
        <v>2025-26</v>
      </c>
      <c r="E4" s="2" t="str">
        <f>'Gen Fd'!E4</f>
        <v>2026-27</v>
      </c>
    </row>
    <row r="5" spans="1:5" x14ac:dyDescent="0.35">
      <c r="B5" s="2" t="str">
        <f>'Gen Fd'!B5</f>
        <v>2024-25</v>
      </c>
      <c r="C5" s="2" t="str">
        <f>'Gen Fd'!C5</f>
        <v>ORIGINAL</v>
      </c>
      <c r="D5" s="2" t="str">
        <f>'Gen Fd'!D5</f>
        <v xml:space="preserve">FINAL </v>
      </c>
      <c r="E5" s="2" t="str">
        <f>'Gen Fd'!E5</f>
        <v>ORIGINAL</v>
      </c>
    </row>
    <row r="6" spans="1:5" x14ac:dyDescent="0.35">
      <c r="A6" t="s">
        <v>1</v>
      </c>
      <c r="B6" s="2" t="str">
        <f>'Gen Fd'!B6</f>
        <v>ACTUAL</v>
      </c>
      <c r="C6" s="2" t="str">
        <f>'Gen Fd'!C6</f>
        <v>BUDGET</v>
      </c>
      <c r="D6" s="2" t="str">
        <f>'Gen Fd'!D6</f>
        <v>BUDGET</v>
      </c>
      <c r="E6" s="2" t="str">
        <f>'Gen Fd'!E6</f>
        <v>BUDGET</v>
      </c>
    </row>
    <row r="7" spans="1:5" x14ac:dyDescent="0.35">
      <c r="A7" s="1" t="s">
        <v>6</v>
      </c>
    </row>
    <row r="8" spans="1:5" x14ac:dyDescent="0.35">
      <c r="A8" t="s">
        <v>7</v>
      </c>
      <c r="B8" s="3">
        <f>238143</f>
        <v>238143</v>
      </c>
      <c r="C8" s="3">
        <v>192000</v>
      </c>
      <c r="D8" s="3">
        <v>234000</v>
      </c>
      <c r="E8" s="3">
        <v>234000</v>
      </c>
    </row>
    <row r="9" spans="1:5" x14ac:dyDescent="0.35">
      <c r="A9" t="s">
        <v>8</v>
      </c>
      <c r="B9" s="4">
        <f>63329</f>
        <v>63329</v>
      </c>
      <c r="C9" s="4">
        <v>61713</v>
      </c>
      <c r="D9" s="4">
        <f>55713</f>
        <v>55713</v>
      </c>
      <c r="E9" s="4">
        <f>55713</f>
        <v>55713</v>
      </c>
    </row>
    <row r="10" spans="1:5" ht="16" x14ac:dyDescent="0.5">
      <c r="A10" t="s">
        <v>9</v>
      </c>
      <c r="B10" s="5">
        <f>1772931</f>
        <v>1772931</v>
      </c>
      <c r="C10" s="5">
        <v>1585000</v>
      </c>
      <c r="D10" s="5">
        <v>1762000</v>
      </c>
      <c r="E10" s="5">
        <v>1762000</v>
      </c>
    </row>
    <row r="11" spans="1:5" ht="16" x14ac:dyDescent="0.5">
      <c r="A11" s="1" t="s">
        <v>10</v>
      </c>
      <c r="B11" s="9">
        <f>SUM(B8:B10)</f>
        <v>2074403</v>
      </c>
      <c r="C11" s="9">
        <f>SUM(C8:C10)</f>
        <v>1838713</v>
      </c>
      <c r="D11" s="9">
        <f>SUM(D8:D10)</f>
        <v>2051713</v>
      </c>
      <c r="E11" s="9">
        <f>SUM(E8:E10)</f>
        <v>2051713</v>
      </c>
    </row>
    <row r="12" spans="1:5" x14ac:dyDescent="0.35">
      <c r="A12" s="1"/>
      <c r="B12" s="4"/>
      <c r="C12" s="4"/>
      <c r="D12" s="4"/>
      <c r="E12" s="4"/>
    </row>
    <row r="13" spans="1:5" ht="16" x14ac:dyDescent="0.5">
      <c r="A13" s="1" t="s">
        <v>31</v>
      </c>
      <c r="B13" s="7">
        <f>1958764</f>
        <v>1958764</v>
      </c>
      <c r="C13" s="7">
        <v>1956756</v>
      </c>
      <c r="D13" s="7">
        <f>2431438-4000</f>
        <v>2427438</v>
      </c>
      <c r="E13" s="7">
        <v>2081438</v>
      </c>
    </row>
    <row r="14" spans="1:5" x14ac:dyDescent="0.35">
      <c r="A14" s="1"/>
      <c r="B14" s="4"/>
      <c r="C14" s="4"/>
      <c r="D14" s="4"/>
      <c r="E14" s="4"/>
    </row>
    <row r="15" spans="1:5" x14ac:dyDescent="0.35">
      <c r="A15" s="1" t="s">
        <v>32</v>
      </c>
      <c r="B15" s="8">
        <f>B11-B13</f>
        <v>115639</v>
      </c>
      <c r="C15" s="8">
        <f>C11-C13</f>
        <v>-118043</v>
      </c>
      <c r="D15" s="8">
        <f>D11-D13</f>
        <v>-375725</v>
      </c>
      <c r="E15" s="8">
        <f>E11-E13</f>
        <v>-29725</v>
      </c>
    </row>
    <row r="16" spans="1:5" ht="16" x14ac:dyDescent="0.5">
      <c r="A16" s="1" t="s">
        <v>52</v>
      </c>
      <c r="B16" s="5">
        <v>-2032</v>
      </c>
      <c r="C16" s="5">
        <v>15096</v>
      </c>
      <c r="D16" s="5">
        <f>25-4000</f>
        <v>-3975</v>
      </c>
      <c r="E16" s="5">
        <f>25-4000</f>
        <v>-3975</v>
      </c>
    </row>
    <row r="17" spans="1:5" x14ac:dyDescent="0.35">
      <c r="A17" s="1" t="s">
        <v>38</v>
      </c>
      <c r="B17" s="8">
        <f>B15+B16</f>
        <v>113607</v>
      </c>
      <c r="C17" s="8">
        <f t="shared" ref="C17" si="0">C15+C16</f>
        <v>-102947</v>
      </c>
      <c r="D17" s="8">
        <f t="shared" ref="D17" si="1">D15+D16</f>
        <v>-379700</v>
      </c>
      <c r="E17" s="8">
        <f t="shared" ref="E17" si="2">E15+E16</f>
        <v>-33700</v>
      </c>
    </row>
    <row r="18" spans="1:5" ht="16" x14ac:dyDescent="0.5">
      <c r="A18" s="1" t="s">
        <v>33</v>
      </c>
      <c r="B18" s="5">
        <v>705792</v>
      </c>
      <c r="C18" s="5">
        <f>B19</f>
        <v>819399</v>
      </c>
      <c r="D18" s="5">
        <f>C18</f>
        <v>819399</v>
      </c>
      <c r="E18" s="5">
        <f>D19</f>
        <v>439699</v>
      </c>
    </row>
    <row r="19" spans="1:5" ht="16" x14ac:dyDescent="0.5">
      <c r="A19" s="1" t="s">
        <v>34</v>
      </c>
      <c r="B19" s="9">
        <f>B17+B18</f>
        <v>819399</v>
      </c>
      <c r="C19" s="9">
        <f t="shared" ref="C19" si="3">C17+C18</f>
        <v>716452</v>
      </c>
      <c r="D19" s="9">
        <f t="shared" ref="D19" si="4">D17+D18</f>
        <v>439699</v>
      </c>
      <c r="E19" s="9">
        <f t="shared" ref="E19" si="5">E17+E18</f>
        <v>405999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0BBEF-53DE-4D5F-A172-348ADAFB35E0}">
  <dimension ref="A1:E15"/>
  <sheetViews>
    <sheetView workbookViewId="0">
      <selection activeCell="B41" sqref="B41"/>
    </sheetView>
  </sheetViews>
  <sheetFormatPr defaultRowHeight="14.5" x14ac:dyDescent="0.35"/>
  <cols>
    <col min="1" max="1" width="24.81640625" bestFit="1" customWidth="1"/>
    <col min="2" max="2" width="14.36328125" customWidth="1"/>
    <col min="3" max="3" width="12.54296875" customWidth="1"/>
    <col min="4" max="4" width="10.36328125" customWidth="1"/>
    <col min="5" max="5" width="10.08984375" customWidth="1"/>
  </cols>
  <sheetData>
    <row r="1" spans="1:5" x14ac:dyDescent="0.35">
      <c r="A1" t="s">
        <v>0</v>
      </c>
      <c r="B1" s="1" t="s">
        <v>46</v>
      </c>
      <c r="D1" s="1"/>
      <c r="E1" s="1"/>
    </row>
    <row r="2" spans="1:5" x14ac:dyDescent="0.35">
      <c r="B2" s="1"/>
      <c r="D2" s="1"/>
      <c r="E2" s="1"/>
    </row>
    <row r="3" spans="1:5" x14ac:dyDescent="0.35">
      <c r="B3" s="2"/>
      <c r="C3" s="2"/>
      <c r="D3" s="2" t="str">
        <f>'Gen Fd'!D3</f>
        <v>PROPOSED</v>
      </c>
      <c r="E3" s="2" t="str">
        <f>'Gen Fd'!E3</f>
        <v>PROPOSED</v>
      </c>
    </row>
    <row r="4" spans="1:5" x14ac:dyDescent="0.35">
      <c r="B4" s="2"/>
      <c r="C4" s="2" t="str">
        <f>'Gen Fd'!C4</f>
        <v>2025-26</v>
      </c>
      <c r="D4" s="2" t="str">
        <f>'Gen Fd'!D4</f>
        <v>2025-26</v>
      </c>
      <c r="E4" s="2" t="str">
        <f>'Gen Fd'!E4</f>
        <v>2026-27</v>
      </c>
    </row>
    <row r="5" spans="1:5" x14ac:dyDescent="0.35">
      <c r="B5" s="2" t="str">
        <f>'Gen Fd'!B5</f>
        <v>2024-25</v>
      </c>
      <c r="C5" s="2" t="str">
        <f>'Gen Fd'!C5</f>
        <v>ORIGINAL</v>
      </c>
      <c r="D5" s="2" t="str">
        <f>'Gen Fd'!D5</f>
        <v xml:space="preserve">FINAL </v>
      </c>
      <c r="E5" s="2" t="str">
        <f>'Gen Fd'!E5</f>
        <v>ORIGINAL</v>
      </c>
    </row>
    <row r="6" spans="1:5" x14ac:dyDescent="0.35">
      <c r="A6" t="s">
        <v>1</v>
      </c>
      <c r="B6" s="2" t="str">
        <f>'Gen Fd'!B6</f>
        <v>ACTUAL</v>
      </c>
      <c r="C6" s="2" t="str">
        <f>'Gen Fd'!C6</f>
        <v>BUDGET</v>
      </c>
      <c r="D6" s="2" t="str">
        <f>'Gen Fd'!D6</f>
        <v>BUDGET</v>
      </c>
      <c r="E6" s="2" t="str">
        <f>'Gen Fd'!E6</f>
        <v>BUDGET</v>
      </c>
    </row>
    <row r="7" spans="1:5" x14ac:dyDescent="0.35">
      <c r="A7" s="1" t="s">
        <v>6</v>
      </c>
    </row>
    <row r="8" spans="1:5" x14ac:dyDescent="0.35">
      <c r="A8" t="s">
        <v>7</v>
      </c>
      <c r="B8" s="3">
        <v>141317</v>
      </c>
      <c r="C8" s="3">
        <v>106475</v>
      </c>
      <c r="D8" s="3">
        <f>C8</f>
        <v>106475</v>
      </c>
      <c r="E8" s="14">
        <f>D8</f>
        <v>106475</v>
      </c>
    </row>
    <row r="9" spans="1:5" ht="16" x14ac:dyDescent="0.5">
      <c r="A9" s="1" t="s">
        <v>10</v>
      </c>
      <c r="B9" s="9">
        <f>SUM(B8:B8)</f>
        <v>141317</v>
      </c>
      <c r="C9" s="9">
        <f>SUM(C8:C8)</f>
        <v>106475</v>
      </c>
      <c r="D9" s="9">
        <f>SUM(D8:D8)</f>
        <v>106475</v>
      </c>
      <c r="E9" s="9">
        <f>SUM(E8:E8)</f>
        <v>106475</v>
      </c>
    </row>
    <row r="10" spans="1:5" x14ac:dyDescent="0.35">
      <c r="A10" s="1"/>
      <c r="B10" s="4"/>
      <c r="C10" s="4"/>
      <c r="D10" s="4"/>
    </row>
    <row r="11" spans="1:5" ht="16" x14ac:dyDescent="0.5">
      <c r="A11" s="1" t="s">
        <v>31</v>
      </c>
      <c r="B11" s="7">
        <v>120593</v>
      </c>
      <c r="C11" s="7">
        <f>C8</f>
        <v>106475</v>
      </c>
      <c r="D11" s="7">
        <f>D8</f>
        <v>106475</v>
      </c>
      <c r="E11" s="7">
        <f>E8</f>
        <v>106475</v>
      </c>
    </row>
    <row r="12" spans="1:5" x14ac:dyDescent="0.35">
      <c r="A12" s="1"/>
      <c r="B12" s="21" t="s">
        <v>51</v>
      </c>
      <c r="C12" s="4"/>
      <c r="D12" s="4"/>
    </row>
    <row r="13" spans="1:5" x14ac:dyDescent="0.35">
      <c r="A13" s="1" t="s">
        <v>32</v>
      </c>
      <c r="B13" s="8">
        <f>B9-B11</f>
        <v>20724</v>
      </c>
      <c r="C13" s="8">
        <f>C9-C11</f>
        <v>0</v>
      </c>
      <c r="D13" s="8">
        <f>D9-D11</f>
        <v>0</v>
      </c>
      <c r="E13" s="8">
        <f>E9-E11</f>
        <v>0</v>
      </c>
    </row>
    <row r="14" spans="1:5" ht="16" x14ac:dyDescent="0.5">
      <c r="A14" s="1" t="s">
        <v>33</v>
      </c>
      <c r="B14" s="5">
        <v>114722</v>
      </c>
      <c r="C14" s="5">
        <f>B15</f>
        <v>135446</v>
      </c>
      <c r="D14" s="5">
        <f>C15</f>
        <v>135446</v>
      </c>
      <c r="E14" s="5">
        <f>D15</f>
        <v>135446</v>
      </c>
    </row>
    <row r="15" spans="1:5" ht="16" x14ac:dyDescent="0.5">
      <c r="A15" s="1" t="s">
        <v>34</v>
      </c>
      <c r="B15" s="9">
        <f>B13+B14</f>
        <v>135446</v>
      </c>
      <c r="C15" s="9">
        <f t="shared" ref="C15:E15" si="0">C13+C14</f>
        <v>135446</v>
      </c>
      <c r="D15" s="9">
        <f t="shared" si="0"/>
        <v>135446</v>
      </c>
      <c r="E15" s="9">
        <f t="shared" si="0"/>
        <v>135446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7C5A-F0C3-4F4B-8111-A6A0D6598205}">
  <dimension ref="A1:E19"/>
  <sheetViews>
    <sheetView workbookViewId="0">
      <selection activeCell="A41" sqref="A41"/>
    </sheetView>
  </sheetViews>
  <sheetFormatPr defaultRowHeight="14.5" x14ac:dyDescent="0.35"/>
  <cols>
    <col min="1" max="1" width="27" customWidth="1"/>
    <col min="2" max="2" width="15.08984375" customWidth="1"/>
    <col min="3" max="3" width="12.1796875" bestFit="1" customWidth="1"/>
    <col min="4" max="4" width="12.54296875" customWidth="1"/>
    <col min="5" max="5" width="12.1796875" customWidth="1"/>
  </cols>
  <sheetData>
    <row r="1" spans="1:5" x14ac:dyDescent="0.35">
      <c r="A1" t="s">
        <v>0</v>
      </c>
      <c r="B1" s="1" t="s">
        <v>41</v>
      </c>
      <c r="D1" s="1"/>
      <c r="E1" s="1"/>
    </row>
    <row r="2" spans="1:5" x14ac:dyDescent="0.35">
      <c r="B2" s="1"/>
      <c r="D2" s="1"/>
      <c r="E2" s="1"/>
    </row>
    <row r="3" spans="1:5" x14ac:dyDescent="0.35">
      <c r="B3" s="2"/>
      <c r="C3" s="2"/>
      <c r="D3" s="2" t="str">
        <f>'Gen Fd'!D3</f>
        <v>PROPOSED</v>
      </c>
      <c r="E3" s="2" t="str">
        <f>'Gen Fd'!E3</f>
        <v>PROPOSED</v>
      </c>
    </row>
    <row r="4" spans="1:5" x14ac:dyDescent="0.35">
      <c r="B4" s="2"/>
      <c r="C4" s="2" t="str">
        <f>'Gen Fd'!C4</f>
        <v>2025-26</v>
      </c>
      <c r="D4" s="2" t="str">
        <f>'Gen Fd'!D4</f>
        <v>2025-26</v>
      </c>
      <c r="E4" s="2" t="str">
        <f>'Gen Fd'!E4</f>
        <v>2026-27</v>
      </c>
    </row>
    <row r="5" spans="1:5" x14ac:dyDescent="0.35">
      <c r="B5" s="2" t="str">
        <f>'Gen Fd'!B5</f>
        <v>2024-25</v>
      </c>
      <c r="C5" s="2" t="str">
        <f>'Gen Fd'!C5</f>
        <v>ORIGINAL</v>
      </c>
      <c r="D5" s="2" t="str">
        <f>'Gen Fd'!D5</f>
        <v xml:space="preserve">FINAL </v>
      </c>
      <c r="E5" s="2" t="str">
        <f>'Gen Fd'!E5</f>
        <v>ORIGINAL</v>
      </c>
    </row>
    <row r="6" spans="1:5" x14ac:dyDescent="0.35">
      <c r="A6" t="s">
        <v>1</v>
      </c>
      <c r="B6" s="2" t="str">
        <f>'Gen Fd'!B6</f>
        <v>ACTUAL</v>
      </c>
      <c r="C6" s="2" t="str">
        <f>'Gen Fd'!C6</f>
        <v>BUDGET</v>
      </c>
      <c r="D6" s="2" t="str">
        <f>'Gen Fd'!D6</f>
        <v>BUDGET</v>
      </c>
      <c r="E6" s="2" t="str">
        <f>'Gen Fd'!E6</f>
        <v>BUDGET</v>
      </c>
    </row>
    <row r="7" spans="1:5" x14ac:dyDescent="0.35">
      <c r="A7" s="1" t="s">
        <v>6</v>
      </c>
    </row>
    <row r="8" spans="1:5" x14ac:dyDescent="0.35">
      <c r="A8" t="s">
        <v>7</v>
      </c>
      <c r="B8" s="13">
        <v>2233558</v>
      </c>
      <c r="C8" s="13">
        <v>2040000</v>
      </c>
      <c r="D8" s="13">
        <v>2195000</v>
      </c>
      <c r="E8" s="14">
        <f>D8</f>
        <v>2195000</v>
      </c>
    </row>
    <row r="9" spans="1:5" ht="16" x14ac:dyDescent="0.5">
      <c r="A9" t="s">
        <v>45</v>
      </c>
      <c r="B9" s="11">
        <v>981089</v>
      </c>
      <c r="C9" s="11">
        <v>0</v>
      </c>
      <c r="D9" s="11">
        <v>2124254</v>
      </c>
      <c r="E9" s="15">
        <v>1000000</v>
      </c>
    </row>
    <row r="10" spans="1:5" ht="16" x14ac:dyDescent="0.5">
      <c r="A10" s="1" t="s">
        <v>10</v>
      </c>
      <c r="B10" s="9">
        <f>SUM(B8:B9)</f>
        <v>3214647</v>
      </c>
      <c r="C10" s="9">
        <f t="shared" ref="C10" si="0">SUM(C8:C9)</f>
        <v>2040000</v>
      </c>
      <c r="D10" s="9">
        <f t="shared" ref="D10:E10" si="1">SUM(D8:D9)</f>
        <v>4319254</v>
      </c>
      <c r="E10" s="9">
        <f t="shared" si="1"/>
        <v>3195000</v>
      </c>
    </row>
    <row r="11" spans="1:5" x14ac:dyDescent="0.35">
      <c r="A11" s="1"/>
      <c r="B11" s="4"/>
      <c r="C11" s="4"/>
      <c r="D11" s="4"/>
    </row>
    <row r="12" spans="1:5" ht="16" x14ac:dyDescent="0.5">
      <c r="A12" s="1" t="s">
        <v>11</v>
      </c>
      <c r="B12" s="6"/>
      <c r="C12" s="6"/>
      <c r="D12" s="6"/>
      <c r="E12" s="10"/>
    </row>
    <row r="13" spans="1:5" x14ac:dyDescent="0.35">
      <c r="A13" t="s">
        <v>29</v>
      </c>
      <c r="B13" s="13">
        <v>2960000</v>
      </c>
      <c r="C13" s="13">
        <v>3010000</v>
      </c>
      <c r="D13" s="13">
        <v>3010000</v>
      </c>
      <c r="E13" s="13">
        <v>3010000</v>
      </c>
    </row>
    <row r="14" spans="1:5" ht="16" x14ac:dyDescent="0.5">
      <c r="A14" t="s">
        <v>44</v>
      </c>
      <c r="B14" s="5">
        <v>663976</v>
      </c>
      <c r="C14" s="16">
        <v>660758</v>
      </c>
      <c r="D14" s="5">
        <f>658758+2000</f>
        <v>660758</v>
      </c>
      <c r="E14" s="16">
        <v>660758</v>
      </c>
    </row>
    <row r="15" spans="1:5" ht="16" x14ac:dyDescent="0.5">
      <c r="A15" s="1" t="s">
        <v>31</v>
      </c>
      <c r="B15" s="12">
        <f>SUM(B13:B14)</f>
        <v>3623976</v>
      </c>
      <c r="C15" s="12">
        <f t="shared" ref="C15" si="2">SUM(C13:C14)</f>
        <v>3670758</v>
      </c>
      <c r="D15" s="12">
        <f t="shared" ref="D15:E15" si="3">SUM(D13:D14)</f>
        <v>3670758</v>
      </c>
      <c r="E15" s="12">
        <f t="shared" si="3"/>
        <v>3670758</v>
      </c>
    </row>
    <row r="16" spans="1:5" x14ac:dyDescent="0.35">
      <c r="A16" s="1" t="s">
        <v>42</v>
      </c>
      <c r="B16" s="8">
        <f>B10-B15</f>
        <v>-409329</v>
      </c>
      <c r="C16" s="8">
        <f t="shared" ref="C16" si="4">C10-C15</f>
        <v>-1630758</v>
      </c>
      <c r="D16" s="8">
        <f t="shared" ref="D16:E16" si="5">D10-D15</f>
        <v>648496</v>
      </c>
      <c r="E16" s="8">
        <f t="shared" si="5"/>
        <v>-475758</v>
      </c>
    </row>
    <row r="17" spans="1:5" x14ac:dyDescent="0.35">
      <c r="A17" s="1"/>
      <c r="B17" s="8"/>
      <c r="C17" s="8"/>
      <c r="D17" s="8"/>
      <c r="E17" s="8"/>
    </row>
    <row r="18" spans="1:5" ht="16" x14ac:dyDescent="0.5">
      <c r="A18" s="1" t="s">
        <v>33</v>
      </c>
      <c r="B18" s="5">
        <v>2132519</v>
      </c>
      <c r="C18" s="5">
        <f>B19</f>
        <v>1723190</v>
      </c>
      <c r="D18" s="5">
        <f>C18</f>
        <v>1723190</v>
      </c>
      <c r="E18" s="15">
        <f>D19</f>
        <v>2371686</v>
      </c>
    </row>
    <row r="19" spans="1:5" ht="16" x14ac:dyDescent="0.5">
      <c r="A19" s="1" t="s">
        <v>34</v>
      </c>
      <c r="B19" s="9">
        <f>B16+B18</f>
        <v>1723190</v>
      </c>
      <c r="C19" s="9">
        <f t="shared" ref="C19" si="6">C16+C18</f>
        <v>92432</v>
      </c>
      <c r="D19" s="9">
        <f t="shared" ref="D19:E19" si="7">D16+D18</f>
        <v>2371686</v>
      </c>
      <c r="E19" s="9">
        <f t="shared" si="7"/>
        <v>1895928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 Fd</vt:lpstr>
      <vt:lpstr>Food</vt:lpstr>
      <vt:lpstr>Student</vt:lpstr>
      <vt:lpstr>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Massoglia</cp:lastModifiedBy>
  <cp:lastPrinted>2025-05-23T19:47:33Z</cp:lastPrinted>
  <dcterms:created xsi:type="dcterms:W3CDTF">2023-05-15T02:08:23Z</dcterms:created>
  <dcterms:modified xsi:type="dcterms:W3CDTF">2026-10-18T18:43:24Z</dcterms:modified>
</cp:coreProperties>
</file>